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2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<sst xmlns="http://schemas.openxmlformats.org/spreadsheetml/2006/main" count="55" uniqueCount="33">
  <si>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verðbætur</t>
  </si>
  <si>
    <t>vextir</t>
  </si>
  <si>
    <t>skattur</t>
  </si>
  <si>
    <t>tekjuskattur</t>
  </si>
  <si>
    <t>Venjulegur sparnaður:</t>
  </si>
  <si>
    <t>vextir af skatt</t>
  </si>
  <si>
    <t>samtals skattur</t>
  </si>
  <si>
    <t>heildarupph. í kerfi</t>
  </si>
  <si>
    <t>vextir =</t>
  </si>
  <si>
    <t>verðbætur skatt</t>
  </si>
  <si>
    <t>skattur=</t>
  </si>
  <si>
    <t>úborgun=</t>
  </si>
  <si>
    <t>verðb. skattur</t>
  </si>
  <si>
    <t>samt. skattur</t>
  </si>
  <si>
    <t>útborgun=</t>
  </si>
  <si>
    <t>afsláttur af skatti=</t>
  </si>
  <si>
    <t>fjárm.tekjusk.</t>
  </si>
  <si>
    <t>Upphæð</t>
  </si>
  <si>
    <t>Reiknaður ágóðan af séreignarsparnaðartrikki Sigurjóns Þ. Árnasonar</t>
  </si>
  <si>
    <t>breyttu:</t>
  </si>
  <si>
    <t>þú færð</t>
  </si>
  <si>
    <t>í stað</t>
  </si>
  <si>
    <t>(*)</t>
  </si>
  <si>
    <t>þ.e. skattsvik</t>
  </si>
  <si>
    <t>Hlutfall skatts sem er stungið undan er</t>
  </si>
  <si>
    <t>vextir síðasta ár</t>
  </si>
  <si>
    <t>gróði (*) =</t>
  </si>
  <si>
    <t>Séreignarsparnaður:</t>
  </si>
  <si>
    <t>Sigurjónssparnaður</t>
  </si>
  <si>
    <t>Séreign í lífeyrissjóð</t>
  </si>
  <si>
    <t>Ávöxtun af láni frá séreign</t>
  </si>
  <si>
    <t>ár</t>
  </si>
  <si>
    <t>verðbólga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</si>
</sst>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3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2" fillId="0" borderId="0" xfId="0" applyFont="1" applyAlignment="1">
      <alignment/>
    </xf>
    <xf numFmtId="3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3" fontId="0" fillId="3" borderId="12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3" fontId="2" fillId="4" borderId="16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3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3" fontId="0" fillId="5" borderId="12" xfId="0" applyNumberFormat="1" applyFill="1" applyBorder="1" applyAlignment="1">
      <alignment/>
    </xf>
    <xf numFmtId="3" fontId="0" fillId="5" borderId="13" xfId="0" applyNumberFormat="1" applyFill="1" applyBorder="1" applyAlignment="1">
      <alignment/>
    </xf>
    <xf numFmtId="3" fontId="0" fillId="5" borderId="14" xfId="0" applyNumberFormat="1" applyFill="1" applyBorder="1" applyAlignment="1">
      <alignment/>
    </xf>
    <xf numFmtId="3" fontId="0" fillId="5" borderId="11" xfId="0" applyNumberFormat="1" applyFill="1" applyBorder="1" applyAlignment="1">
      <alignment/>
    </xf>
    <xf numFmtId="3" fontId="0" fillId="5" borderId="15" xfId="0" applyNumberFormat="1" applyFill="1" applyBorder="1" applyAlignment="1">
      <alignment/>
    </xf>
    <xf numFmtId="3" fontId="0" fillId="5" borderId="16" xfId="0" applyNumberFormat="1" applyFill="1" applyBorder="1" applyAlignment="1">
      <alignment/>
    </xf>
    <xf numFmtId="3" fontId="0" fillId="5" borderId="17" xfId="0" applyNumberFormat="1" applyFill="1" applyBorder="1" applyAlignment="1">
      <alignment/>
    </xf>
    <xf numFmtId="0" fontId="0" fillId="4" borderId="18" xfId="0" applyFill="1" applyBorder="1" applyAlignment="1">
      <alignment horizontal="right"/>
    </xf>
    <xf numFmtId="3" fontId="2" fillId="4" borderId="19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0" fontId="0" fillId="2" borderId="16" xfId="0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0" fontId="2" fillId="0" borderId="16" xfId="0" applyNumberFormat="1" applyFont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19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164" fontId="2" fillId="4" borderId="16" xfId="0" applyNumberFormat="1" applyFon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5" fillId="7" borderId="0" xfId="0" applyFont="1" applyFill="1" applyAlignment="1">
      <alignment/>
    </xf>
    <xf numFmtId="3" fontId="5" fillId="7" borderId="7" xfId="0" applyNumberFormat="1" applyFont="1" applyFill="1" applyBorder="1" applyAlignment="1">
      <alignment horizontal="center"/>
    </xf>
    <xf numFmtId="164" fontId="5" fillId="7" borderId="8" xfId="0" applyNumberFormat="1" applyFont="1" applyFill="1" applyBorder="1" applyAlignment="1">
      <alignment horizontal="center"/>
    </xf>
    <xf numFmtId="164" fontId="5" fillId="7" borderId="9" xfId="0" applyNumberFormat="1" applyFont="1" applyFill="1" applyBorder="1" applyAlignment="1">
      <alignment horizontal="center"/>
    </xf>
    <xf numFmtId="3" fontId="2" fillId="5" borderId="20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0" fontId="6" fillId="3" borderId="13" xfId="0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0" borderId="0" xfId="0" applyFont="1" applyAlignment="1">
      <alignment/>
    </xf>
    <xf numFmtId="0" fontId="6" fillId="5" borderId="13" xfId="0" applyFont="1" applyFill="1" applyBorder="1" applyAlignment="1">
      <alignment/>
    </xf>
    <xf numFmtId="3" fontId="6" fillId="5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8" xfId="0" applyFont="1" applyFill="1" applyBorder="1" applyAlignment="1">
      <alignment horizontal="right"/>
    </xf>
    <xf numFmtId="3" fontId="2" fillId="4" borderId="18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3" fontId="0" fillId="2" borderId="23" xfId="0" applyNumberFormat="1" applyFill="1" applyBorder="1" applyAlignment="1">
      <alignment/>
    </xf>
    <xf numFmtId="0" fontId="0" fillId="8" borderId="18" xfId="0" applyFont="1" applyFill="1" applyBorder="1" applyAlignment="1">
      <alignment horizontal="right"/>
    </xf>
    <xf numFmtId="9" fontId="0" fillId="8" borderId="1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7109375" style="0" customWidth="1"/>
    <col min="2" max="3" width="13.140625" style="1" customWidth="1"/>
    <col min="4" max="5" width="13.140625" style="0" customWidth="1"/>
    <col min="6" max="6" width="14.140625" style="0" customWidth="1"/>
    <col min="7" max="7" width="13.140625" style="0" customWidth="1"/>
    <col min="8" max="8" width="14.7109375" style="0" customWidth="1"/>
    <col min="9" max="9" width="5.140625" style="0" customWidth="1"/>
    <col min="10" max="10" width="16.8515625" style="0" customWidth="1"/>
    <col min="11" max="16384" width="13.140625" style="0" customWidth="1"/>
  </cols>
  <sheetData>
    <row r="1" spans="1:7" ht="12.75">
      <c r="A1" s="58" t="s">
        <v>18</v>
      </c>
      <c r="B1" s="58"/>
      <c r="C1" s="58"/>
      <c r="D1" s="58"/>
      <c r="E1" s="58"/>
      <c r="F1" s="58"/>
      <c r="G1" s="58"/>
    </row>
    <row r="2" ht="23.25" customHeight="1" thickBot="1"/>
    <row r="3" spans="2:6" ht="12.75">
      <c r="B3" s="70" t="s">
        <v>17</v>
      </c>
      <c r="C3" s="71" t="s">
        <v>32</v>
      </c>
      <c r="D3" s="72" t="s">
        <v>1</v>
      </c>
      <c r="E3" s="68" t="s">
        <v>16</v>
      </c>
      <c r="F3" s="68" t="s">
        <v>3</v>
      </c>
    </row>
    <row r="4" spans="1:7" ht="13.5" thickBot="1">
      <c r="A4" s="73" t="s">
        <v>19</v>
      </c>
      <c r="B4" s="74">
        <v>3000000</v>
      </c>
      <c r="C4" s="75">
        <v>0.08</v>
      </c>
      <c r="D4" s="76">
        <v>0.05</v>
      </c>
      <c r="E4" s="69">
        <v>0.1</v>
      </c>
      <c r="F4" s="69">
        <v>0.38</v>
      </c>
      <c r="G4" s="2"/>
    </row>
    <row r="5" ht="13.5" thickBot="1"/>
    <row r="6" spans="1:8" ht="13.5" thickBot="1">
      <c r="A6" s="59" t="s">
        <v>20</v>
      </c>
      <c r="B6" s="60">
        <f>B81</f>
        <v>9840364.91615788</v>
      </c>
      <c r="C6" s="60" t="s">
        <v>21</v>
      </c>
      <c r="D6" s="60">
        <f>B44</f>
        <v>8411425.425777998</v>
      </c>
      <c r="E6" s="61" t="s">
        <v>26</v>
      </c>
      <c r="F6" s="62">
        <f>B6-D6</f>
        <v>1428939.490379883</v>
      </c>
      <c r="G6" s="64" t="s">
        <v>22</v>
      </c>
      <c r="H6" s="63" t="s">
        <v>23</v>
      </c>
    </row>
    <row r="7" ht="12.75">
      <c r="E7" s="53"/>
    </row>
    <row r="8" spans="2:5" ht="13.5" thickBot="1">
      <c r="B8" s="26"/>
      <c r="C8" s="26"/>
      <c r="D8" s="65" t="s">
        <v>24</v>
      </c>
      <c r="E8" s="66">
        <f>F6/H44</f>
        <v>0.2771738999696995</v>
      </c>
    </row>
    <row r="9" ht="13.5" thickBot="1"/>
    <row r="10" spans="1:10" s="83" customFormat="1" ht="15.75">
      <c r="A10" s="79"/>
      <c r="B10" s="80" t="s">
        <v>4</v>
      </c>
      <c r="C10" s="80"/>
      <c r="D10" s="81"/>
      <c r="E10" s="81"/>
      <c r="F10" s="81"/>
      <c r="G10" s="81"/>
      <c r="H10" s="81"/>
      <c r="I10" s="81"/>
      <c r="J10" s="82"/>
    </row>
    <row r="11" spans="1:10" ht="12.75">
      <c r="A11" s="15"/>
      <c r="B11" s="16"/>
      <c r="C11" s="16" t="s">
        <v>0</v>
      </c>
      <c r="D11" s="17" t="s">
        <v>1</v>
      </c>
      <c r="E11" s="17" t="s">
        <v>2</v>
      </c>
      <c r="F11" s="17" t="s">
        <v>5</v>
      </c>
      <c r="G11" s="17" t="s">
        <v>9</v>
      </c>
      <c r="H11" s="17" t="s">
        <v>6</v>
      </c>
      <c r="I11" s="17"/>
      <c r="J11" s="18" t="s">
        <v>7</v>
      </c>
    </row>
    <row r="12" spans="1:10" ht="13.5" thickBot="1">
      <c r="A12" s="97" t="s">
        <v>31</v>
      </c>
      <c r="B12" s="16">
        <f>B4</f>
        <v>3000000</v>
      </c>
      <c r="C12" s="16"/>
      <c r="D12" s="17"/>
      <c r="E12" s="16">
        <f>B12*F$4</f>
        <v>1140000</v>
      </c>
      <c r="F12" s="16"/>
      <c r="G12" s="16"/>
      <c r="H12" s="16">
        <f>SUM(E12:F12)</f>
        <v>1140000</v>
      </c>
      <c r="I12" s="17"/>
      <c r="J12" s="19">
        <f>H12+B12-26600000</f>
        <v>-22460000</v>
      </c>
    </row>
    <row r="13" spans="1:10" ht="12.75">
      <c r="A13" s="15">
        <v>1</v>
      </c>
      <c r="B13" s="20">
        <f>B12+C12+D12-E12</f>
        <v>1860000</v>
      </c>
      <c r="C13" s="14">
        <f>B13*C$4</f>
        <v>148800</v>
      </c>
      <c r="D13" s="14">
        <f>SUM(B13:C13)*D$4</f>
        <v>100440</v>
      </c>
      <c r="E13" s="21">
        <f>(C13+D13)*E$4</f>
        <v>24924</v>
      </c>
      <c r="F13" s="16">
        <f>(H12+G13)*D$4</f>
        <v>61560</v>
      </c>
      <c r="G13" s="16">
        <f>H12*C$4</f>
        <v>91200</v>
      </c>
      <c r="H13" s="16">
        <f>SUM(E13:F13)+H12+G13</f>
        <v>1317684</v>
      </c>
      <c r="I13" s="17"/>
      <c r="J13" s="19">
        <f>SUM(B13:D13)-E13+H13</f>
        <v>3402000</v>
      </c>
    </row>
    <row r="14" spans="1:10" ht="12.75">
      <c r="A14" s="15">
        <v>2</v>
      </c>
      <c r="B14" s="22">
        <f aca="true" t="shared" si="0" ref="B14:B24">B13+C13+D13-E13</f>
        <v>2084316</v>
      </c>
      <c r="C14" s="16">
        <f aca="true" t="shared" si="1" ref="C14:C24">B14*C$4</f>
        <v>166745.28</v>
      </c>
      <c r="D14" s="16">
        <f aca="true" t="shared" si="2" ref="D14:D24">SUM(B14:C14)*D$4</f>
        <v>112553.064</v>
      </c>
      <c r="E14" s="19">
        <f aca="true" t="shared" si="3" ref="E14:E24">(C14+D14)*E$4</f>
        <v>27929.8344</v>
      </c>
      <c r="F14" s="16">
        <f aca="true" t="shared" si="4" ref="F14:F24">(H13+G14)*D$4</f>
        <v>71154.936</v>
      </c>
      <c r="G14" s="16">
        <f aca="true" t="shared" si="5" ref="G14:G24">H13*C$4</f>
        <v>105414.72</v>
      </c>
      <c r="H14" s="16">
        <f aca="true" t="shared" si="6" ref="H14:H24">SUM(E14:F14)+H13+G14</f>
        <v>1522183.4904</v>
      </c>
      <c r="I14" s="17"/>
      <c r="J14" s="19">
        <f aca="true" t="shared" si="7" ref="J14:J24">SUM(B14:D14)-E14+H14</f>
        <v>3857867.9999999995</v>
      </c>
    </row>
    <row r="15" spans="1:10" ht="12.75">
      <c r="A15" s="15">
        <v>3</v>
      </c>
      <c r="B15" s="22">
        <f t="shared" si="0"/>
        <v>2335684.5095999995</v>
      </c>
      <c r="C15" s="16">
        <f t="shared" si="1"/>
        <v>186854.76076799998</v>
      </c>
      <c r="D15" s="16">
        <f t="shared" si="2"/>
        <v>126126.96351839998</v>
      </c>
      <c r="E15" s="19">
        <f t="shared" si="3"/>
        <v>31298.17242864</v>
      </c>
      <c r="F15" s="16">
        <f t="shared" si="4"/>
        <v>82197.9084816</v>
      </c>
      <c r="G15" s="16">
        <f t="shared" si="5"/>
        <v>121774.67923200001</v>
      </c>
      <c r="H15" s="16">
        <f t="shared" si="6"/>
        <v>1757454.25054224</v>
      </c>
      <c r="I15" s="17"/>
      <c r="J15" s="19">
        <f t="shared" si="7"/>
        <v>4374822.311999999</v>
      </c>
    </row>
    <row r="16" spans="1:10" ht="12.75">
      <c r="A16" s="15">
        <v>4</v>
      </c>
      <c r="B16" s="22">
        <f t="shared" si="0"/>
        <v>2617368.0614577592</v>
      </c>
      <c r="C16" s="16">
        <f t="shared" si="1"/>
        <v>209389.44491662073</v>
      </c>
      <c r="D16" s="16">
        <f t="shared" si="2"/>
        <v>141337.87531871902</v>
      </c>
      <c r="E16" s="19">
        <f t="shared" si="3"/>
        <v>35072.73202353398</v>
      </c>
      <c r="F16" s="16">
        <f t="shared" si="4"/>
        <v>94902.52952928096</v>
      </c>
      <c r="G16" s="16">
        <f t="shared" si="5"/>
        <v>140596.3400433792</v>
      </c>
      <c r="H16" s="16">
        <f t="shared" si="6"/>
        <v>2028025.852138434</v>
      </c>
      <c r="I16" s="17"/>
      <c r="J16" s="19">
        <f t="shared" si="7"/>
        <v>4961048.501807999</v>
      </c>
    </row>
    <row r="17" spans="1:10" ht="12.75">
      <c r="A17" s="15">
        <v>5</v>
      </c>
      <c r="B17" s="22">
        <f t="shared" si="0"/>
        <v>2933022.6496695653</v>
      </c>
      <c r="C17" s="16">
        <f t="shared" si="1"/>
        <v>234641.81197356523</v>
      </c>
      <c r="D17" s="16">
        <f t="shared" si="2"/>
        <v>158383.22308215653</v>
      </c>
      <c r="E17" s="19">
        <f t="shared" si="3"/>
        <v>39302.50350557218</v>
      </c>
      <c r="F17" s="16">
        <f t="shared" si="4"/>
        <v>109513.39601547545</v>
      </c>
      <c r="G17" s="16">
        <f t="shared" si="5"/>
        <v>162242.06817107473</v>
      </c>
      <c r="H17" s="16">
        <f t="shared" si="6"/>
        <v>2339083.8198305564</v>
      </c>
      <c r="I17" s="17"/>
      <c r="J17" s="19">
        <f t="shared" si="7"/>
        <v>5625829.001050271</v>
      </c>
    </row>
    <row r="18" spans="1:10" ht="12.75">
      <c r="A18" s="15">
        <v>6</v>
      </c>
      <c r="B18" s="22">
        <f t="shared" si="0"/>
        <v>3286745.1812197147</v>
      </c>
      <c r="C18" s="16">
        <f t="shared" si="1"/>
        <v>262939.6144975772</v>
      </c>
      <c r="D18" s="16">
        <f t="shared" si="2"/>
        <v>177484.2397858646</v>
      </c>
      <c r="E18" s="19">
        <f t="shared" si="3"/>
        <v>44042.38542834418</v>
      </c>
      <c r="F18" s="16">
        <f t="shared" si="4"/>
        <v>126310.52627085005</v>
      </c>
      <c r="G18" s="16">
        <f t="shared" si="5"/>
        <v>187126.70558644453</v>
      </c>
      <c r="H18" s="16">
        <f t="shared" si="6"/>
        <v>2696563.4371161954</v>
      </c>
      <c r="I18" s="17"/>
      <c r="J18" s="19">
        <f t="shared" si="7"/>
        <v>6379690.087191008</v>
      </c>
    </row>
    <row r="19" spans="1:10" ht="12.75">
      <c r="A19" s="15">
        <v>7</v>
      </c>
      <c r="B19" s="22">
        <f t="shared" si="0"/>
        <v>3683126.650074812</v>
      </c>
      <c r="C19" s="16">
        <f t="shared" si="1"/>
        <v>294650.13200598495</v>
      </c>
      <c r="D19" s="16">
        <f t="shared" si="2"/>
        <v>198888.83910403986</v>
      </c>
      <c r="E19" s="19">
        <f t="shared" si="3"/>
        <v>49353.89711100249</v>
      </c>
      <c r="F19" s="16">
        <f t="shared" si="4"/>
        <v>145614.42560427455</v>
      </c>
      <c r="G19" s="16">
        <f t="shared" si="5"/>
        <v>215725.07496929565</v>
      </c>
      <c r="H19" s="16">
        <f t="shared" si="6"/>
        <v>3107256.8348007677</v>
      </c>
      <c r="I19" s="17"/>
      <c r="J19" s="19">
        <f t="shared" si="7"/>
        <v>7234568.558874602</v>
      </c>
    </row>
    <row r="20" spans="1:10" ht="12.75">
      <c r="A20" s="15">
        <v>8</v>
      </c>
      <c r="B20" s="22">
        <f t="shared" si="0"/>
        <v>4127311.7240738347</v>
      </c>
      <c r="C20" s="16">
        <f t="shared" si="1"/>
        <v>330184.9379259068</v>
      </c>
      <c r="D20" s="16">
        <f t="shared" si="2"/>
        <v>222874.8330999871</v>
      </c>
      <c r="E20" s="19">
        <f t="shared" si="3"/>
        <v>55305.977102589386</v>
      </c>
      <c r="F20" s="16">
        <f t="shared" si="4"/>
        <v>167791.86907924147</v>
      </c>
      <c r="G20" s="16">
        <f t="shared" si="5"/>
        <v>248580.54678406141</v>
      </c>
      <c r="H20" s="16">
        <f t="shared" si="6"/>
        <v>3578935.22776666</v>
      </c>
      <c r="I20" s="17"/>
      <c r="J20" s="19">
        <f t="shared" si="7"/>
        <v>8204000.745763799</v>
      </c>
    </row>
    <row r="21" spans="1:10" ht="12.75">
      <c r="A21" s="15">
        <v>9</v>
      </c>
      <c r="B21" s="22">
        <f t="shared" si="0"/>
        <v>4625065.517997139</v>
      </c>
      <c r="C21" s="16">
        <f t="shared" si="1"/>
        <v>370005.24143977114</v>
      </c>
      <c r="D21" s="16">
        <f t="shared" si="2"/>
        <v>249753.5379718455</v>
      </c>
      <c r="E21" s="19">
        <f t="shared" si="3"/>
        <v>61975.87794116166</v>
      </c>
      <c r="F21" s="16">
        <f t="shared" si="4"/>
        <v>193262.50229939967</v>
      </c>
      <c r="G21" s="16">
        <f t="shared" si="5"/>
        <v>286314.8182213328</v>
      </c>
      <c r="H21" s="16">
        <f t="shared" si="6"/>
        <v>4120488.4262285545</v>
      </c>
      <c r="I21" s="17"/>
      <c r="J21" s="19">
        <f t="shared" si="7"/>
        <v>9303336.84569615</v>
      </c>
    </row>
    <row r="22" spans="1:10" ht="12.75">
      <c r="A22" s="15">
        <v>10</v>
      </c>
      <c r="B22" s="22">
        <f t="shared" si="0"/>
        <v>5182848.4194675945</v>
      </c>
      <c r="C22" s="16">
        <f t="shared" si="1"/>
        <v>414627.8735574076</v>
      </c>
      <c r="D22" s="16">
        <f t="shared" si="2"/>
        <v>279873.8146512501</v>
      </c>
      <c r="E22" s="19">
        <f t="shared" si="3"/>
        <v>69450.16882086577</v>
      </c>
      <c r="F22" s="16">
        <f t="shared" si="4"/>
        <v>222506.37501634192</v>
      </c>
      <c r="G22" s="16">
        <f t="shared" si="5"/>
        <v>329639.07409828436</v>
      </c>
      <c r="H22" s="16">
        <f t="shared" si="6"/>
        <v>4742084.044164047</v>
      </c>
      <c r="I22" s="17"/>
      <c r="J22" s="19">
        <f t="shared" si="7"/>
        <v>10549983.983019434</v>
      </c>
    </row>
    <row r="23" spans="1:10" ht="12.75">
      <c r="A23" s="15">
        <v>11</v>
      </c>
      <c r="B23" s="22">
        <f t="shared" si="0"/>
        <v>5807899.938855386</v>
      </c>
      <c r="C23" s="16">
        <f t="shared" si="1"/>
        <v>464631.9951084309</v>
      </c>
      <c r="D23" s="16">
        <f t="shared" si="2"/>
        <v>313626.5966981909</v>
      </c>
      <c r="E23" s="19">
        <f t="shared" si="3"/>
        <v>77825.85918066218</v>
      </c>
      <c r="F23" s="16">
        <f t="shared" si="4"/>
        <v>256072.53838485852</v>
      </c>
      <c r="G23" s="16">
        <f t="shared" si="5"/>
        <v>379366.72353312373</v>
      </c>
      <c r="H23" s="16">
        <f t="shared" si="6"/>
        <v>5455349.165262691</v>
      </c>
      <c r="I23" s="17"/>
      <c r="J23" s="19">
        <f t="shared" si="7"/>
        <v>11963681.836744037</v>
      </c>
    </row>
    <row r="24" spans="1:10" ht="13.5" thickBot="1">
      <c r="A24" s="15">
        <v>12</v>
      </c>
      <c r="B24" s="23">
        <f t="shared" si="0"/>
        <v>6508332.671481347</v>
      </c>
      <c r="C24" s="24">
        <f t="shared" si="1"/>
        <v>520666.61371850775</v>
      </c>
      <c r="D24" s="24">
        <f t="shared" si="2"/>
        <v>351449.96425999276</v>
      </c>
      <c r="E24" s="25">
        <f t="shared" si="3"/>
        <v>87211.65779785006</v>
      </c>
      <c r="F24" s="16">
        <f t="shared" si="4"/>
        <v>294588.8549241853</v>
      </c>
      <c r="G24" s="16">
        <f t="shared" si="5"/>
        <v>436427.93322101526</v>
      </c>
      <c r="H24" s="16">
        <f t="shared" si="6"/>
        <v>6273577.611205741</v>
      </c>
      <c r="I24" s="17"/>
      <c r="J24" s="19">
        <f t="shared" si="7"/>
        <v>13566815.202867739</v>
      </c>
    </row>
    <row r="25" spans="1:10" ht="13.5" thickBot="1">
      <c r="A25" s="15"/>
      <c r="B25" s="16"/>
      <c r="C25" s="16"/>
      <c r="D25" s="16"/>
      <c r="E25" s="16"/>
      <c r="F25" s="16"/>
      <c r="G25" s="16"/>
      <c r="H25" s="16"/>
      <c r="I25" s="17"/>
      <c r="J25" s="19"/>
    </row>
    <row r="26" spans="1:10" ht="13.5" thickBot="1">
      <c r="A26" s="93" t="s">
        <v>11</v>
      </c>
      <c r="B26" s="41">
        <f>SUM(B24:D24)-E24</f>
        <v>7293237.591661997</v>
      </c>
      <c r="C26" s="24"/>
      <c r="D26" s="24"/>
      <c r="E26" s="24"/>
      <c r="F26" s="24"/>
      <c r="G26" s="94" t="s">
        <v>10</v>
      </c>
      <c r="H26" s="41">
        <f>H24</f>
        <v>6273577.611205741</v>
      </c>
      <c r="I26" s="24"/>
      <c r="J26" s="78">
        <f>B26+H26</f>
        <v>13566815.202867739</v>
      </c>
    </row>
    <row r="27" spans="6:7" ht="13.5" thickBot="1">
      <c r="F27" s="1"/>
      <c r="G27" s="1"/>
    </row>
    <row r="28" spans="1:10" s="83" customFormat="1" ht="15.75">
      <c r="A28" s="84"/>
      <c r="B28" s="85" t="s">
        <v>27</v>
      </c>
      <c r="C28" s="85"/>
      <c r="D28" s="86"/>
      <c r="E28" s="86"/>
      <c r="F28" s="85"/>
      <c r="G28" s="85"/>
      <c r="H28" s="86"/>
      <c r="I28" s="86"/>
      <c r="J28" s="87"/>
    </row>
    <row r="29" spans="1:10" ht="12.75">
      <c r="A29" s="29"/>
      <c r="B29" s="30"/>
      <c r="C29" s="30" t="s">
        <v>0</v>
      </c>
      <c r="D29" s="31" t="s">
        <v>1</v>
      </c>
      <c r="E29" s="31" t="s">
        <v>2</v>
      </c>
      <c r="F29" s="31" t="s">
        <v>5</v>
      </c>
      <c r="G29" s="31" t="s">
        <v>12</v>
      </c>
      <c r="H29" s="31" t="s">
        <v>13</v>
      </c>
      <c r="I29" s="31"/>
      <c r="J29" s="32"/>
    </row>
    <row r="30" spans="1:10" ht="13.5" thickBot="1">
      <c r="A30" s="96" t="s">
        <v>31</v>
      </c>
      <c r="B30" s="30">
        <f>B4</f>
        <v>3000000</v>
      </c>
      <c r="C30" s="30"/>
      <c r="D30" s="31"/>
      <c r="E30" s="30"/>
      <c r="F30" s="30"/>
      <c r="G30" s="30"/>
      <c r="H30" s="31"/>
      <c r="I30" s="31"/>
      <c r="J30" s="33">
        <f>H30+B30</f>
        <v>3000000</v>
      </c>
    </row>
    <row r="31" spans="1:10" ht="12.75">
      <c r="A31" s="29">
        <v>1</v>
      </c>
      <c r="B31" s="34">
        <f>B30+C30+D30-E30</f>
        <v>3000000</v>
      </c>
      <c r="C31" s="28">
        <f>B31*C$4</f>
        <v>240000</v>
      </c>
      <c r="D31" s="28">
        <f>SUM(B31:C31)*D$4</f>
        <v>162000</v>
      </c>
      <c r="E31" s="35"/>
      <c r="F31" s="30"/>
      <c r="G31" s="30"/>
      <c r="H31" s="31"/>
      <c r="I31" s="31"/>
      <c r="J31" s="33">
        <f>SUM(B31:D31)-E31+H31</f>
        <v>3402000</v>
      </c>
    </row>
    <row r="32" spans="1:10" ht="12.75">
      <c r="A32" s="29">
        <v>2</v>
      </c>
      <c r="B32" s="36">
        <f aca="true" t="shared" si="8" ref="B32:B42">B31+C31+D31-E31</f>
        <v>3402000</v>
      </c>
      <c r="C32" s="30">
        <f aca="true" t="shared" si="9" ref="C32:C42">B32*C$4</f>
        <v>272160</v>
      </c>
      <c r="D32" s="30">
        <f aca="true" t="shared" si="10" ref="D32:D42">SUM(B32:C32)*D$4</f>
        <v>183708</v>
      </c>
      <c r="E32" s="33"/>
      <c r="F32" s="30"/>
      <c r="G32" s="30"/>
      <c r="H32" s="31"/>
      <c r="I32" s="31"/>
      <c r="J32" s="33">
        <f aca="true" t="shared" si="11" ref="J32:J42">SUM(B32:D32)-E32+H32</f>
        <v>3857868</v>
      </c>
    </row>
    <row r="33" spans="1:10" ht="12.75">
      <c r="A33" s="29">
        <v>3</v>
      </c>
      <c r="B33" s="36">
        <f t="shared" si="8"/>
        <v>3857868</v>
      </c>
      <c r="C33" s="30">
        <f t="shared" si="9"/>
        <v>308629.44</v>
      </c>
      <c r="D33" s="30">
        <f t="shared" si="10"/>
        <v>208324.872</v>
      </c>
      <c r="E33" s="33"/>
      <c r="F33" s="30"/>
      <c r="G33" s="30"/>
      <c r="H33" s="31"/>
      <c r="I33" s="31"/>
      <c r="J33" s="33">
        <f t="shared" si="11"/>
        <v>4374822.312</v>
      </c>
    </row>
    <row r="34" spans="1:10" ht="12.75">
      <c r="A34" s="29">
        <v>4</v>
      </c>
      <c r="B34" s="36">
        <f t="shared" si="8"/>
        <v>4374822.312</v>
      </c>
      <c r="C34" s="30">
        <f t="shared" si="9"/>
        <v>349985.78496</v>
      </c>
      <c r="D34" s="30">
        <f t="shared" si="10"/>
        <v>236240.404848</v>
      </c>
      <c r="E34" s="33"/>
      <c r="F34" s="30"/>
      <c r="G34" s="30"/>
      <c r="H34" s="31"/>
      <c r="I34" s="31"/>
      <c r="J34" s="33">
        <f t="shared" si="11"/>
        <v>4961048.501808</v>
      </c>
    </row>
    <row r="35" spans="1:10" ht="12.75">
      <c r="A35" s="29">
        <v>5</v>
      </c>
      <c r="B35" s="36">
        <f t="shared" si="8"/>
        <v>4961048.501808</v>
      </c>
      <c r="C35" s="30">
        <f t="shared" si="9"/>
        <v>396883.88014464</v>
      </c>
      <c r="D35" s="30">
        <f t="shared" si="10"/>
        <v>267896.619097632</v>
      </c>
      <c r="E35" s="33"/>
      <c r="F35" s="30"/>
      <c r="G35" s="30"/>
      <c r="H35" s="31"/>
      <c r="I35" s="31"/>
      <c r="J35" s="33">
        <f t="shared" si="11"/>
        <v>5625829.001050272</v>
      </c>
    </row>
    <row r="36" spans="1:10" ht="12.75">
      <c r="A36" s="29">
        <v>6</v>
      </c>
      <c r="B36" s="36">
        <f t="shared" si="8"/>
        <v>5625829.001050272</v>
      </c>
      <c r="C36" s="30">
        <f t="shared" si="9"/>
        <v>450066.3200840218</v>
      </c>
      <c r="D36" s="30">
        <f t="shared" si="10"/>
        <v>303794.7660567147</v>
      </c>
      <c r="E36" s="33"/>
      <c r="F36" s="30"/>
      <c r="G36" s="30"/>
      <c r="H36" s="31"/>
      <c r="I36" s="31"/>
      <c r="J36" s="33">
        <f t="shared" si="11"/>
        <v>6379690.087191008</v>
      </c>
    </row>
    <row r="37" spans="1:10" ht="12.75">
      <c r="A37" s="29">
        <v>7</v>
      </c>
      <c r="B37" s="36">
        <f t="shared" si="8"/>
        <v>6379690.087191008</v>
      </c>
      <c r="C37" s="30">
        <f t="shared" si="9"/>
        <v>510375.20697528066</v>
      </c>
      <c r="D37" s="30">
        <f t="shared" si="10"/>
        <v>344503.26470831444</v>
      </c>
      <c r="E37" s="33"/>
      <c r="F37" s="30"/>
      <c r="G37" s="30"/>
      <c r="H37" s="31"/>
      <c r="I37" s="31"/>
      <c r="J37" s="33">
        <f t="shared" si="11"/>
        <v>7234568.558874602</v>
      </c>
    </row>
    <row r="38" spans="1:10" ht="12.75">
      <c r="A38" s="29">
        <v>8</v>
      </c>
      <c r="B38" s="36">
        <f t="shared" si="8"/>
        <v>7234568.558874602</v>
      </c>
      <c r="C38" s="30">
        <f t="shared" si="9"/>
        <v>578765.4847099682</v>
      </c>
      <c r="D38" s="30">
        <f t="shared" si="10"/>
        <v>390666.70217922854</v>
      </c>
      <c r="E38" s="33"/>
      <c r="F38" s="30"/>
      <c r="G38" s="30"/>
      <c r="H38" s="31"/>
      <c r="I38" s="31"/>
      <c r="J38" s="33">
        <f t="shared" si="11"/>
        <v>8204000.745763799</v>
      </c>
    </row>
    <row r="39" spans="1:10" ht="12.75">
      <c r="A39" s="29">
        <v>9</v>
      </c>
      <c r="B39" s="36">
        <f t="shared" si="8"/>
        <v>8204000.745763799</v>
      </c>
      <c r="C39" s="30">
        <f t="shared" si="9"/>
        <v>656320.059661104</v>
      </c>
      <c r="D39" s="30">
        <f t="shared" si="10"/>
        <v>443016.0402712452</v>
      </c>
      <c r="E39" s="33"/>
      <c r="F39" s="30"/>
      <c r="G39" s="30"/>
      <c r="H39" s="31"/>
      <c r="I39" s="31"/>
      <c r="J39" s="33">
        <f t="shared" si="11"/>
        <v>9303336.845696148</v>
      </c>
    </row>
    <row r="40" spans="1:10" ht="12.75">
      <c r="A40" s="29">
        <v>10</v>
      </c>
      <c r="B40" s="36">
        <f t="shared" si="8"/>
        <v>9303336.845696148</v>
      </c>
      <c r="C40" s="30">
        <f t="shared" si="9"/>
        <v>744266.9476556918</v>
      </c>
      <c r="D40" s="30">
        <f t="shared" si="10"/>
        <v>502380.18966759206</v>
      </c>
      <c r="E40" s="33"/>
      <c r="F40" s="30"/>
      <c r="G40" s="30"/>
      <c r="H40" s="31"/>
      <c r="I40" s="31"/>
      <c r="J40" s="33">
        <f t="shared" si="11"/>
        <v>10549983.983019432</v>
      </c>
    </row>
    <row r="41" spans="1:10" ht="12.75">
      <c r="A41" s="29">
        <v>11</v>
      </c>
      <c r="B41" s="36">
        <f t="shared" si="8"/>
        <v>10549983.983019432</v>
      </c>
      <c r="C41" s="30">
        <f t="shared" si="9"/>
        <v>843998.7186415546</v>
      </c>
      <c r="D41" s="30">
        <f t="shared" si="10"/>
        <v>569699.1350830494</v>
      </c>
      <c r="E41" s="33"/>
      <c r="F41" s="30"/>
      <c r="G41" s="30"/>
      <c r="H41" s="31"/>
      <c r="I41" s="31"/>
      <c r="J41" s="33">
        <f t="shared" si="11"/>
        <v>11963681.836744037</v>
      </c>
    </row>
    <row r="42" spans="1:10" ht="13.5" thickBot="1">
      <c r="A42" s="29">
        <v>12</v>
      </c>
      <c r="B42" s="37">
        <f t="shared" si="8"/>
        <v>11963681.836744037</v>
      </c>
      <c r="C42" s="38">
        <f t="shared" si="9"/>
        <v>957094.546939523</v>
      </c>
      <c r="D42" s="38">
        <f t="shared" si="10"/>
        <v>646038.819184178</v>
      </c>
      <c r="E42" s="39">
        <f>SUM(B42:D42)*F$4</f>
        <v>5155389.77708974</v>
      </c>
      <c r="F42" s="30"/>
      <c r="G42" s="30"/>
      <c r="H42" s="30">
        <f>E42</f>
        <v>5155389.77708974</v>
      </c>
      <c r="I42" s="31"/>
      <c r="J42" s="33">
        <f t="shared" si="11"/>
        <v>13566815.202867739</v>
      </c>
    </row>
    <row r="43" spans="1:10" ht="13.5" thickBot="1">
      <c r="A43" s="29"/>
      <c r="B43" s="30"/>
      <c r="C43" s="30"/>
      <c r="D43" s="30"/>
      <c r="E43" s="30"/>
      <c r="F43" s="30"/>
      <c r="G43" s="30"/>
      <c r="H43" s="30"/>
      <c r="I43" s="31"/>
      <c r="J43" s="33"/>
    </row>
    <row r="44" spans="1:10" ht="13.5" thickBot="1">
      <c r="A44" s="93" t="s">
        <v>11</v>
      </c>
      <c r="B44" s="41">
        <f>SUM(B42:D42)-E42</f>
        <v>8411425.425777998</v>
      </c>
      <c r="C44" s="38"/>
      <c r="D44" s="38"/>
      <c r="E44" s="38"/>
      <c r="F44" s="38"/>
      <c r="G44" s="94" t="s">
        <v>10</v>
      </c>
      <c r="H44" s="41">
        <f>H42</f>
        <v>5155389.77708974</v>
      </c>
      <c r="I44" s="38"/>
      <c r="J44" s="77">
        <f>B44+H44</f>
        <v>13566815.202867739</v>
      </c>
    </row>
    <row r="45" ht="13.5" thickBot="1"/>
    <row r="46" spans="1:10" s="83" customFormat="1" ht="15.75">
      <c r="A46" s="88"/>
      <c r="B46" s="89" t="s">
        <v>28</v>
      </c>
      <c r="C46" s="89"/>
      <c r="D46" s="90"/>
      <c r="E46" s="90"/>
      <c r="F46" s="90"/>
      <c r="G46" s="90"/>
      <c r="H46" s="90"/>
      <c r="I46" s="90"/>
      <c r="J46" s="91"/>
    </row>
    <row r="47" spans="1:10" ht="13.5" thickBot="1">
      <c r="A47" s="47"/>
      <c r="B47" s="27"/>
      <c r="C47" s="27"/>
      <c r="D47" s="4"/>
      <c r="E47" s="4"/>
      <c r="F47" s="4"/>
      <c r="G47" s="4"/>
      <c r="H47" s="4"/>
      <c r="I47" s="4"/>
      <c r="J47" s="48"/>
    </row>
    <row r="48" spans="1:10" ht="13.5" thickBot="1">
      <c r="A48" s="43"/>
      <c r="B48" s="57" t="s">
        <v>29</v>
      </c>
      <c r="C48" s="44"/>
      <c r="D48" s="99" t="s">
        <v>8</v>
      </c>
      <c r="E48" s="100">
        <v>0</v>
      </c>
      <c r="F48" s="98" t="s">
        <v>25</v>
      </c>
      <c r="G48" s="67">
        <v>0.035</v>
      </c>
      <c r="H48" s="45"/>
      <c r="I48" s="45"/>
      <c r="J48" s="46"/>
    </row>
    <row r="49" spans="1:10" ht="12.75">
      <c r="A49" s="47"/>
      <c r="B49" s="27"/>
      <c r="C49" s="27" t="s">
        <v>0</v>
      </c>
      <c r="D49" s="4" t="s">
        <v>1</v>
      </c>
      <c r="E49" s="4" t="s">
        <v>2</v>
      </c>
      <c r="F49" s="27" t="s">
        <v>5</v>
      </c>
      <c r="G49" s="27"/>
      <c r="H49" s="27" t="s">
        <v>6</v>
      </c>
      <c r="I49" s="4"/>
      <c r="J49" s="48"/>
    </row>
    <row r="50" spans="1:10" ht="13.5" thickBot="1">
      <c r="A50" s="95" t="s">
        <v>31</v>
      </c>
      <c r="B50" s="27">
        <f>B4</f>
        <v>3000000</v>
      </c>
      <c r="C50" s="27"/>
      <c r="D50" s="4"/>
      <c r="E50" s="27"/>
      <c r="F50" s="27"/>
      <c r="G50" s="27"/>
      <c r="H50" s="4"/>
      <c r="I50" s="4"/>
      <c r="J50" s="49">
        <f>H50+B50</f>
        <v>3000000</v>
      </c>
    </row>
    <row r="51" spans="1:10" ht="12.75">
      <c r="A51" s="47">
        <v>1</v>
      </c>
      <c r="B51" s="5">
        <f>B50+C50+D50-E50</f>
        <v>3000000</v>
      </c>
      <c r="C51" s="6">
        <f>B51*C$4</f>
        <v>240000</v>
      </c>
      <c r="D51" s="6">
        <f>SUM(B51:C51)*E$48</f>
        <v>0</v>
      </c>
      <c r="E51" s="6">
        <f>D51*E$4</f>
        <v>0</v>
      </c>
      <c r="F51" s="6"/>
      <c r="G51" s="6"/>
      <c r="H51" s="7">
        <f>E51+F51</f>
        <v>0</v>
      </c>
      <c r="I51" s="4"/>
      <c r="J51" s="49">
        <f>SUM(B51:D51)+H51</f>
        <v>3240000</v>
      </c>
    </row>
    <row r="52" spans="1:10" ht="12.75">
      <c r="A52" s="47">
        <v>2</v>
      </c>
      <c r="B52" s="8">
        <f aca="true" t="shared" si="12" ref="B52:B62">B51+C51+D51-E51</f>
        <v>3240000</v>
      </c>
      <c r="C52" s="3">
        <f aca="true" t="shared" si="13" ref="C52:C62">B52*C$4</f>
        <v>259200</v>
      </c>
      <c r="D52" s="3">
        <f aca="true" t="shared" si="14" ref="D52:D62">SUM(B52:C52)*E$48</f>
        <v>0</v>
      </c>
      <c r="E52" s="3">
        <f aca="true" t="shared" si="15" ref="E52:E61">D52*E$4</f>
        <v>0</v>
      </c>
      <c r="F52" s="3">
        <f>H51*D$4</f>
        <v>0</v>
      </c>
      <c r="G52" s="3"/>
      <c r="H52" s="9">
        <f>E52+F52</f>
        <v>0</v>
      </c>
      <c r="I52" s="4"/>
      <c r="J52" s="49">
        <f aca="true" t="shared" si="16" ref="J52:J62">SUM(B52:D52)+H52</f>
        <v>3499200</v>
      </c>
    </row>
    <row r="53" spans="1:10" ht="12.75">
      <c r="A53" s="47">
        <v>3</v>
      </c>
      <c r="B53" s="8">
        <f t="shared" si="12"/>
        <v>3499200</v>
      </c>
      <c r="C53" s="3">
        <f t="shared" si="13"/>
        <v>279936</v>
      </c>
      <c r="D53" s="3">
        <f t="shared" si="14"/>
        <v>0</v>
      </c>
      <c r="E53" s="3">
        <f t="shared" si="15"/>
        <v>0</v>
      </c>
      <c r="F53" s="3">
        <f aca="true" t="shared" si="17" ref="F53:F62">H52*D$4</f>
        <v>0</v>
      </c>
      <c r="G53" s="3"/>
      <c r="H53" s="9">
        <f aca="true" t="shared" si="18" ref="H53:H62">E53+F53</f>
        <v>0</v>
      </c>
      <c r="I53" s="4"/>
      <c r="J53" s="49">
        <f t="shared" si="16"/>
        <v>3779136</v>
      </c>
    </row>
    <row r="54" spans="1:10" ht="12.75">
      <c r="A54" s="47">
        <v>4</v>
      </c>
      <c r="B54" s="8">
        <f t="shared" si="12"/>
        <v>3779136</v>
      </c>
      <c r="C54" s="3">
        <f t="shared" si="13"/>
        <v>302330.88</v>
      </c>
      <c r="D54" s="3">
        <f t="shared" si="14"/>
        <v>0</v>
      </c>
      <c r="E54" s="3">
        <f t="shared" si="15"/>
        <v>0</v>
      </c>
      <c r="F54" s="3">
        <f t="shared" si="17"/>
        <v>0</v>
      </c>
      <c r="G54" s="3"/>
      <c r="H54" s="9">
        <f t="shared" si="18"/>
        <v>0</v>
      </c>
      <c r="I54" s="4"/>
      <c r="J54" s="49">
        <f t="shared" si="16"/>
        <v>4081466.88</v>
      </c>
    </row>
    <row r="55" spans="1:10" ht="12.75">
      <c r="A55" s="47">
        <v>5</v>
      </c>
      <c r="B55" s="8">
        <f t="shared" si="12"/>
        <v>4081466.88</v>
      </c>
      <c r="C55" s="3">
        <f t="shared" si="13"/>
        <v>326517.3504</v>
      </c>
      <c r="D55" s="3">
        <f t="shared" si="14"/>
        <v>0</v>
      </c>
      <c r="E55" s="3">
        <f t="shared" si="15"/>
        <v>0</v>
      </c>
      <c r="F55" s="3">
        <f t="shared" si="17"/>
        <v>0</v>
      </c>
      <c r="G55" s="3"/>
      <c r="H55" s="9">
        <f t="shared" si="18"/>
        <v>0</v>
      </c>
      <c r="I55" s="4"/>
      <c r="J55" s="49">
        <f t="shared" si="16"/>
        <v>4407984.2304</v>
      </c>
    </row>
    <row r="56" spans="1:10" ht="12.75">
      <c r="A56" s="47">
        <v>6</v>
      </c>
      <c r="B56" s="8">
        <f t="shared" si="12"/>
        <v>4407984.2304</v>
      </c>
      <c r="C56" s="3">
        <f t="shared" si="13"/>
        <v>352638.738432</v>
      </c>
      <c r="D56" s="3">
        <f t="shared" si="14"/>
        <v>0</v>
      </c>
      <c r="E56" s="3">
        <f t="shared" si="15"/>
        <v>0</v>
      </c>
      <c r="F56" s="3">
        <f t="shared" si="17"/>
        <v>0</v>
      </c>
      <c r="G56" s="3"/>
      <c r="H56" s="9">
        <f t="shared" si="18"/>
        <v>0</v>
      </c>
      <c r="I56" s="4"/>
      <c r="J56" s="49">
        <f t="shared" si="16"/>
        <v>4760622.968832</v>
      </c>
    </row>
    <row r="57" spans="1:10" ht="12.75">
      <c r="A57" s="47">
        <v>7</v>
      </c>
      <c r="B57" s="8">
        <f t="shared" si="12"/>
        <v>4760622.968832</v>
      </c>
      <c r="C57" s="3">
        <f t="shared" si="13"/>
        <v>380849.83750656</v>
      </c>
      <c r="D57" s="3">
        <f t="shared" si="14"/>
        <v>0</v>
      </c>
      <c r="E57" s="3">
        <f t="shared" si="15"/>
        <v>0</v>
      </c>
      <c r="F57" s="3">
        <f t="shared" si="17"/>
        <v>0</v>
      </c>
      <c r="G57" s="3"/>
      <c r="H57" s="9">
        <f t="shared" si="18"/>
        <v>0</v>
      </c>
      <c r="I57" s="4"/>
      <c r="J57" s="49">
        <f t="shared" si="16"/>
        <v>5141472.80633856</v>
      </c>
    </row>
    <row r="58" spans="1:10" ht="12.75">
      <c r="A58" s="47">
        <v>8</v>
      </c>
      <c r="B58" s="8">
        <f t="shared" si="12"/>
        <v>5141472.80633856</v>
      </c>
      <c r="C58" s="3">
        <f t="shared" si="13"/>
        <v>411317.8245070848</v>
      </c>
      <c r="D58" s="3">
        <f t="shared" si="14"/>
        <v>0</v>
      </c>
      <c r="E58" s="3">
        <f t="shared" si="15"/>
        <v>0</v>
      </c>
      <c r="F58" s="3">
        <f t="shared" si="17"/>
        <v>0</v>
      </c>
      <c r="G58" s="3"/>
      <c r="H58" s="9">
        <f t="shared" si="18"/>
        <v>0</v>
      </c>
      <c r="I58" s="4"/>
      <c r="J58" s="49">
        <f t="shared" si="16"/>
        <v>5552790.6308456445</v>
      </c>
    </row>
    <row r="59" spans="1:10" ht="12.75">
      <c r="A59" s="47">
        <v>9</v>
      </c>
      <c r="B59" s="8">
        <f t="shared" si="12"/>
        <v>5552790.6308456445</v>
      </c>
      <c r="C59" s="3">
        <f t="shared" si="13"/>
        <v>444223.2504676516</v>
      </c>
      <c r="D59" s="3">
        <f t="shared" si="14"/>
        <v>0</v>
      </c>
      <c r="E59" s="3">
        <f t="shared" si="15"/>
        <v>0</v>
      </c>
      <c r="F59" s="3">
        <f t="shared" si="17"/>
        <v>0</v>
      </c>
      <c r="G59" s="3"/>
      <c r="H59" s="9">
        <f t="shared" si="18"/>
        <v>0</v>
      </c>
      <c r="I59" s="4"/>
      <c r="J59" s="49">
        <f t="shared" si="16"/>
        <v>5997013.881313296</v>
      </c>
    </row>
    <row r="60" spans="1:10" ht="12.75">
      <c r="A60" s="47">
        <v>10</v>
      </c>
      <c r="B60" s="8">
        <f t="shared" si="12"/>
        <v>5997013.881313296</v>
      </c>
      <c r="C60" s="3">
        <f t="shared" si="13"/>
        <v>479761.11050506367</v>
      </c>
      <c r="D60" s="3">
        <f t="shared" si="14"/>
        <v>0</v>
      </c>
      <c r="E60" s="3">
        <f t="shared" si="15"/>
        <v>0</v>
      </c>
      <c r="F60" s="3">
        <f t="shared" si="17"/>
        <v>0</v>
      </c>
      <c r="G60" s="3"/>
      <c r="H60" s="9">
        <f t="shared" si="18"/>
        <v>0</v>
      </c>
      <c r="I60" s="4"/>
      <c r="J60" s="49">
        <f t="shared" si="16"/>
        <v>6476774.99181836</v>
      </c>
    </row>
    <row r="61" spans="1:10" ht="12.75">
      <c r="A61" s="47">
        <v>11</v>
      </c>
      <c r="B61" s="8">
        <f t="shared" si="12"/>
        <v>6476774.99181836</v>
      </c>
      <c r="C61" s="3">
        <f t="shared" si="13"/>
        <v>518141.9993454688</v>
      </c>
      <c r="D61" s="3">
        <f t="shared" si="14"/>
        <v>0</v>
      </c>
      <c r="E61" s="3">
        <f t="shared" si="15"/>
        <v>0</v>
      </c>
      <c r="F61" s="3">
        <f t="shared" si="17"/>
        <v>0</v>
      </c>
      <c r="G61" s="3"/>
      <c r="H61" s="9">
        <f t="shared" si="18"/>
        <v>0</v>
      </c>
      <c r="I61" s="4"/>
      <c r="J61" s="49">
        <f t="shared" si="16"/>
        <v>6994916.991163829</v>
      </c>
    </row>
    <row r="62" spans="1:10" ht="13.5" thickBot="1">
      <c r="A62" s="47">
        <v>12</v>
      </c>
      <c r="B62" s="10">
        <f t="shared" si="12"/>
        <v>6994916.991163829</v>
      </c>
      <c r="C62" s="11">
        <f t="shared" si="13"/>
        <v>559593.3592931064</v>
      </c>
      <c r="D62" s="11">
        <f>SUM(B62:C62)*G48</f>
        <v>264407.86226599274</v>
      </c>
      <c r="E62" s="11">
        <f>SUM(B62:D62)*F$4</f>
        <v>2971188.9208347127</v>
      </c>
      <c r="F62" s="11">
        <f t="shared" si="17"/>
        <v>0</v>
      </c>
      <c r="G62" s="11"/>
      <c r="H62" s="12">
        <f t="shared" si="18"/>
        <v>2971188.9208347127</v>
      </c>
      <c r="I62" s="4"/>
      <c r="J62" s="49">
        <f t="shared" si="16"/>
        <v>10790107.13355764</v>
      </c>
    </row>
    <row r="63" spans="1:10" ht="12.75">
      <c r="A63" s="47"/>
      <c r="B63" s="27"/>
      <c r="C63" s="27"/>
      <c r="D63" s="27"/>
      <c r="E63" s="27"/>
      <c r="F63" s="27"/>
      <c r="G63" s="27"/>
      <c r="H63" s="42">
        <f>H62</f>
        <v>2971188.9208347127</v>
      </c>
      <c r="I63" s="27"/>
      <c r="J63" s="48"/>
    </row>
    <row r="64" spans="1:10" ht="12.75">
      <c r="A64" s="47"/>
      <c r="B64" s="42" t="s">
        <v>30</v>
      </c>
      <c r="C64" s="27"/>
      <c r="D64" s="4"/>
      <c r="E64" s="4"/>
      <c r="F64" s="4"/>
      <c r="G64" s="4"/>
      <c r="H64" s="4"/>
      <c r="I64" s="4"/>
      <c r="J64" s="48"/>
    </row>
    <row r="65" spans="1:10" ht="12.75">
      <c r="A65" s="47"/>
      <c r="B65" s="27"/>
      <c r="C65" s="27" t="s">
        <v>0</v>
      </c>
      <c r="D65" s="4" t="s">
        <v>1</v>
      </c>
      <c r="E65" s="4" t="s">
        <v>2</v>
      </c>
      <c r="F65" s="4" t="s">
        <v>5</v>
      </c>
      <c r="G65" s="4" t="s">
        <v>9</v>
      </c>
      <c r="H65" s="4" t="s">
        <v>6</v>
      </c>
      <c r="I65" s="4"/>
      <c r="J65" s="48"/>
    </row>
    <row r="66" spans="1:10" ht="13.5" thickBot="1">
      <c r="A66" s="95" t="s">
        <v>31</v>
      </c>
      <c r="B66" s="27">
        <f>B4</f>
        <v>3000000</v>
      </c>
      <c r="C66" s="27"/>
      <c r="D66" s="4"/>
      <c r="E66" s="27"/>
      <c r="F66" s="27"/>
      <c r="G66" s="27"/>
      <c r="H66" s="27">
        <f>SUM(E66:F66)</f>
        <v>0</v>
      </c>
      <c r="I66" s="4"/>
      <c r="J66" s="49">
        <f>H66+B66</f>
        <v>3000000</v>
      </c>
    </row>
    <row r="67" spans="1:10" ht="12.75">
      <c r="A67" s="47">
        <v>1</v>
      </c>
      <c r="B67" s="5">
        <f>B66+C66+D66-E66</f>
        <v>3000000</v>
      </c>
      <c r="C67" s="6">
        <f>B67*C$4</f>
        <v>240000</v>
      </c>
      <c r="D67" s="6">
        <f>SUM(B67:C67)*D$4</f>
        <v>162000</v>
      </c>
      <c r="E67" s="6">
        <f>D67*E$4</f>
        <v>16200</v>
      </c>
      <c r="F67" s="6">
        <f>(H66+G67)*D$4</f>
        <v>0</v>
      </c>
      <c r="G67" s="6">
        <f>H66*C$4</f>
        <v>0</v>
      </c>
      <c r="H67" s="7">
        <f>SUM(E67:F67)+H66+G67</f>
        <v>16200</v>
      </c>
      <c r="I67" s="4"/>
      <c r="J67" s="49">
        <f>SUM(B67:D67)-E67+H67</f>
        <v>3402000</v>
      </c>
    </row>
    <row r="68" spans="1:10" ht="12.75">
      <c r="A68" s="47">
        <v>2</v>
      </c>
      <c r="B68" s="8">
        <f aca="true" t="shared" si="19" ref="B68:B78">B67+C67+D67-E67</f>
        <v>3385800</v>
      </c>
      <c r="C68" s="3">
        <f aca="true" t="shared" si="20" ref="C68:C78">B68*C$4</f>
        <v>270864</v>
      </c>
      <c r="D68" s="3">
        <f aca="true" t="shared" si="21" ref="D68:D78">SUM(B68:C68)*D$4</f>
        <v>182833.2</v>
      </c>
      <c r="E68" s="3">
        <f aca="true" t="shared" si="22" ref="E68:E78">D68*E$4</f>
        <v>18283.320000000003</v>
      </c>
      <c r="F68" s="3">
        <f aca="true" t="shared" si="23" ref="F68:F78">(H67+G68)*D$4</f>
        <v>874.8000000000001</v>
      </c>
      <c r="G68" s="3">
        <f aca="true" t="shared" si="24" ref="G68:G78">H67*C$4</f>
        <v>1296</v>
      </c>
      <c r="H68" s="9">
        <f aca="true" t="shared" si="25" ref="H68:H78">SUM(E68:F68)+H67+G68</f>
        <v>36654.12</v>
      </c>
      <c r="I68" s="4"/>
      <c r="J68" s="49">
        <f aca="true" t="shared" si="26" ref="J68:J78">SUM(B68:D68)-E68+H68</f>
        <v>3857868.0000000005</v>
      </c>
    </row>
    <row r="69" spans="1:10" ht="12.75">
      <c r="A69" s="47">
        <v>3</v>
      </c>
      <c r="B69" s="8">
        <f t="shared" si="19"/>
        <v>3821213.8800000004</v>
      </c>
      <c r="C69" s="3">
        <f t="shared" si="20"/>
        <v>305697.11040000006</v>
      </c>
      <c r="D69" s="3">
        <f t="shared" si="21"/>
        <v>206345.54952000003</v>
      </c>
      <c r="E69" s="3">
        <f t="shared" si="22"/>
        <v>20634.554952000006</v>
      </c>
      <c r="F69" s="3">
        <f t="shared" si="23"/>
        <v>1979.32248</v>
      </c>
      <c r="G69" s="3">
        <f t="shared" si="24"/>
        <v>2932.3296000000005</v>
      </c>
      <c r="H69" s="9">
        <f t="shared" si="25"/>
        <v>62200.327032</v>
      </c>
      <c r="I69" s="4"/>
      <c r="J69" s="49">
        <f t="shared" si="26"/>
        <v>4374822.312</v>
      </c>
    </row>
    <row r="70" spans="1:10" ht="12.75">
      <c r="A70" s="47">
        <v>4</v>
      </c>
      <c r="B70" s="8">
        <f t="shared" si="19"/>
        <v>4312621.984968</v>
      </c>
      <c r="C70" s="3">
        <f t="shared" si="20"/>
        <v>345009.75879744004</v>
      </c>
      <c r="D70" s="3">
        <f t="shared" si="21"/>
        <v>232881.587188272</v>
      </c>
      <c r="E70" s="3">
        <f t="shared" si="22"/>
        <v>23288.158718827202</v>
      </c>
      <c r="F70" s="3">
        <f t="shared" si="23"/>
        <v>3358.817659728</v>
      </c>
      <c r="G70" s="3">
        <f t="shared" si="24"/>
        <v>4976.026162560001</v>
      </c>
      <c r="H70" s="9">
        <f t="shared" si="25"/>
        <v>93823.3295731152</v>
      </c>
      <c r="I70" s="4"/>
      <c r="J70" s="49">
        <f t="shared" si="26"/>
        <v>4961048.501808</v>
      </c>
    </row>
    <row r="71" spans="1:10" ht="12.75">
      <c r="A71" s="47">
        <v>5</v>
      </c>
      <c r="B71" s="8">
        <f t="shared" si="19"/>
        <v>4867225.172234884</v>
      </c>
      <c r="C71" s="3">
        <f t="shared" si="20"/>
        <v>389378.0137787908</v>
      </c>
      <c r="D71" s="3">
        <f t="shared" si="21"/>
        <v>262830.15930068376</v>
      </c>
      <c r="E71" s="3">
        <f t="shared" si="22"/>
        <v>26283.015930068377</v>
      </c>
      <c r="F71" s="3">
        <f t="shared" si="23"/>
        <v>5066.459796948221</v>
      </c>
      <c r="G71" s="3">
        <f t="shared" si="24"/>
        <v>7505.866365849216</v>
      </c>
      <c r="H71" s="9">
        <f t="shared" si="25"/>
        <v>132678.67166598103</v>
      </c>
      <c r="I71" s="4"/>
      <c r="J71" s="49">
        <f t="shared" si="26"/>
        <v>5625829.001050272</v>
      </c>
    </row>
    <row r="72" spans="1:10" ht="12.75">
      <c r="A72" s="47">
        <v>6</v>
      </c>
      <c r="B72" s="8">
        <f t="shared" si="19"/>
        <v>5493150.329384291</v>
      </c>
      <c r="C72" s="3">
        <f t="shared" si="20"/>
        <v>439452.02635074325</v>
      </c>
      <c r="D72" s="3">
        <f t="shared" si="21"/>
        <v>296630.1177867517</v>
      </c>
      <c r="E72" s="3">
        <f t="shared" si="22"/>
        <v>29663.011778675173</v>
      </c>
      <c r="F72" s="3">
        <f t="shared" si="23"/>
        <v>7164.648269962977</v>
      </c>
      <c r="G72" s="3">
        <f t="shared" si="24"/>
        <v>10614.293733278482</v>
      </c>
      <c r="H72" s="9">
        <f t="shared" si="25"/>
        <v>180120.62544789768</v>
      </c>
      <c r="I72" s="4"/>
      <c r="J72" s="49">
        <f t="shared" si="26"/>
        <v>6379690.087191008</v>
      </c>
    </row>
    <row r="73" spans="1:10" ht="12.75">
      <c r="A73" s="47">
        <v>7</v>
      </c>
      <c r="B73" s="8">
        <f t="shared" si="19"/>
        <v>6199569.461743111</v>
      </c>
      <c r="C73" s="3">
        <f t="shared" si="20"/>
        <v>495965.55693944887</v>
      </c>
      <c r="D73" s="3">
        <f t="shared" si="21"/>
        <v>334776.750934128</v>
      </c>
      <c r="E73" s="3">
        <f t="shared" si="22"/>
        <v>33477.6750934128</v>
      </c>
      <c r="F73" s="3">
        <f t="shared" si="23"/>
        <v>9726.513774186475</v>
      </c>
      <c r="G73" s="3">
        <f t="shared" si="24"/>
        <v>14409.650035831815</v>
      </c>
      <c r="H73" s="9">
        <f t="shared" si="25"/>
        <v>237734.46435132876</v>
      </c>
      <c r="I73" s="4"/>
      <c r="J73" s="49">
        <f t="shared" si="26"/>
        <v>7234568.558874604</v>
      </c>
    </row>
    <row r="74" spans="1:10" ht="12.75">
      <c r="A74" s="47">
        <v>8</v>
      </c>
      <c r="B74" s="8">
        <f t="shared" si="19"/>
        <v>6996834.094523275</v>
      </c>
      <c r="C74" s="3">
        <f t="shared" si="20"/>
        <v>559746.727561862</v>
      </c>
      <c r="D74" s="3">
        <f t="shared" si="21"/>
        <v>377829.0411042569</v>
      </c>
      <c r="E74" s="3">
        <f t="shared" si="22"/>
        <v>37782.90411042569</v>
      </c>
      <c r="F74" s="3">
        <f t="shared" si="23"/>
        <v>12837.661074971753</v>
      </c>
      <c r="G74" s="3">
        <f t="shared" si="24"/>
        <v>19018.757148106302</v>
      </c>
      <c r="H74" s="9">
        <f t="shared" si="25"/>
        <v>307373.7866848325</v>
      </c>
      <c r="I74" s="4"/>
      <c r="J74" s="49">
        <f t="shared" si="26"/>
        <v>8204000.745763801</v>
      </c>
    </row>
    <row r="75" spans="1:10" ht="12.75">
      <c r="A75" s="47">
        <v>9</v>
      </c>
      <c r="B75" s="8">
        <f t="shared" si="19"/>
        <v>7896626.9590789685</v>
      </c>
      <c r="C75" s="3">
        <f t="shared" si="20"/>
        <v>631730.1567263175</v>
      </c>
      <c r="D75" s="3">
        <f t="shared" si="21"/>
        <v>426417.8557902644</v>
      </c>
      <c r="E75" s="3">
        <f t="shared" si="22"/>
        <v>42641.785579026444</v>
      </c>
      <c r="F75" s="3">
        <f t="shared" si="23"/>
        <v>16598.18448098095</v>
      </c>
      <c r="G75" s="3">
        <f t="shared" si="24"/>
        <v>24589.902934786598</v>
      </c>
      <c r="H75" s="9">
        <f t="shared" si="25"/>
        <v>391203.65967962646</v>
      </c>
      <c r="I75" s="4"/>
      <c r="J75" s="49">
        <f t="shared" si="26"/>
        <v>9303336.845696153</v>
      </c>
    </row>
    <row r="76" spans="1:10" ht="12.75">
      <c r="A76" s="47">
        <v>10</v>
      </c>
      <c r="B76" s="8">
        <f t="shared" si="19"/>
        <v>8912133.186016526</v>
      </c>
      <c r="C76" s="3">
        <f t="shared" si="20"/>
        <v>712970.654881322</v>
      </c>
      <c r="D76" s="3">
        <f t="shared" si="21"/>
        <v>481255.19204489246</v>
      </c>
      <c r="E76" s="3">
        <f t="shared" si="22"/>
        <v>48125.51920448925</v>
      </c>
      <c r="F76" s="3">
        <f t="shared" si="23"/>
        <v>21124.99762269983</v>
      </c>
      <c r="G76" s="3">
        <f t="shared" si="24"/>
        <v>31296.29277437012</v>
      </c>
      <c r="H76" s="9">
        <f t="shared" si="25"/>
        <v>491750.46928118565</v>
      </c>
      <c r="I76" s="4"/>
      <c r="J76" s="49">
        <f t="shared" si="26"/>
        <v>10549983.983019438</v>
      </c>
    </row>
    <row r="77" spans="1:10" ht="12.75">
      <c r="A77" s="47">
        <v>11</v>
      </c>
      <c r="B77" s="8">
        <f t="shared" si="19"/>
        <v>10058233.513738252</v>
      </c>
      <c r="C77" s="3">
        <f t="shared" si="20"/>
        <v>804658.6810990602</v>
      </c>
      <c r="D77" s="3">
        <f t="shared" si="21"/>
        <v>543144.6097418657</v>
      </c>
      <c r="E77" s="3">
        <f t="shared" si="22"/>
        <v>54314.46097418657</v>
      </c>
      <c r="F77" s="3">
        <f t="shared" si="23"/>
        <v>26554.525341184024</v>
      </c>
      <c r="G77" s="3">
        <f t="shared" si="24"/>
        <v>39340.03754249485</v>
      </c>
      <c r="H77" s="9">
        <f t="shared" si="25"/>
        <v>611959.493139051</v>
      </c>
      <c r="I77" s="4"/>
      <c r="J77" s="49">
        <f t="shared" si="26"/>
        <v>11963681.836744044</v>
      </c>
    </row>
    <row r="78" spans="1:10" ht="13.5" thickBot="1">
      <c r="A78" s="47">
        <v>12</v>
      </c>
      <c r="B78" s="10">
        <f t="shared" si="19"/>
        <v>11351722.343604993</v>
      </c>
      <c r="C78" s="11">
        <f t="shared" si="20"/>
        <v>908137.7874883994</v>
      </c>
      <c r="D78" s="11">
        <f t="shared" si="21"/>
        <v>612993.0065546696</v>
      </c>
      <c r="E78" s="11">
        <f t="shared" si="22"/>
        <v>61299.30065546696</v>
      </c>
      <c r="F78" s="11">
        <f t="shared" si="23"/>
        <v>33045.81262950876</v>
      </c>
      <c r="G78" s="11">
        <f t="shared" si="24"/>
        <v>48956.75945112408</v>
      </c>
      <c r="H78" s="12">
        <f t="shared" si="25"/>
        <v>755261.3658751509</v>
      </c>
      <c r="I78" s="4"/>
      <c r="J78" s="49">
        <f t="shared" si="26"/>
        <v>13566815.202867744</v>
      </c>
    </row>
    <row r="79" spans="1:10" ht="12.75">
      <c r="A79" s="47"/>
      <c r="B79" s="27"/>
      <c r="C79" s="27"/>
      <c r="D79" s="4"/>
      <c r="E79" s="4"/>
      <c r="F79" s="4"/>
      <c r="G79" s="4"/>
      <c r="H79" s="42">
        <f>H78</f>
        <v>755261.3658751509</v>
      </c>
      <c r="I79" s="4"/>
      <c r="J79" s="49">
        <f>B79+H79</f>
        <v>755261.3658751509</v>
      </c>
    </row>
    <row r="80" spans="1:10" ht="13.5" thickBot="1">
      <c r="A80" s="47"/>
      <c r="B80" s="27"/>
      <c r="C80" s="27"/>
      <c r="D80" s="4"/>
      <c r="E80" s="4"/>
      <c r="F80" s="4"/>
      <c r="G80" s="4"/>
      <c r="H80" s="4"/>
      <c r="I80" s="4"/>
      <c r="J80" s="48"/>
    </row>
    <row r="81" spans="1:10" ht="13.5" thickBot="1">
      <c r="A81" s="92" t="s">
        <v>14</v>
      </c>
      <c r="B81" s="41">
        <f>SUM(B78:D78)-E78-E62</f>
        <v>9840364.91615788</v>
      </c>
      <c r="C81" s="50"/>
      <c r="D81" s="51"/>
      <c r="E81" s="51"/>
      <c r="F81" s="51"/>
      <c r="G81" s="40" t="s">
        <v>10</v>
      </c>
      <c r="H81" s="41">
        <f>H63+H79</f>
        <v>3726450.2867098637</v>
      </c>
      <c r="I81" s="51"/>
      <c r="J81" s="52">
        <f>B81+H81</f>
        <v>13566815.202867744</v>
      </c>
    </row>
    <row r="83" spans="6:9" ht="13.5" thickBot="1">
      <c r="F83" s="54"/>
      <c r="G83" s="55" t="s">
        <v>15</v>
      </c>
      <c r="H83" s="56">
        <f>(H44-H81)/H44</f>
        <v>0.2771738999696982</v>
      </c>
      <c r="I83" s="13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Íslandsbanki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birgirth</dc:creator>
  <cp:keywords/>
  <dc:description/>
  <cp:lastModifiedBy>birgirth</cp:lastModifiedBy>
  <cp:lastPrinted>2009-06-16T14:13:36Z</cp:lastPrinted>
  <dcterms:created xsi:type="dcterms:W3CDTF">2009-06-16T12:48:32Z</dcterms:created>
  <dcterms:modified xsi:type="dcterms:W3CDTF">2009-06-16T14:56:32Z</dcterms:modified>
  <cp:category/>
  <cp:version/>
  <cp:contentType/>
  <cp:contentStatus/>
</cp:coreProperties>
</file>